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5mm" sheetId="1" r:id="rId1"/>
  </sheets>
  <definedNames>
    <definedName name="COLC">'35mm'!$E$21</definedName>
    <definedName name="COLC_2">#REF!</definedName>
    <definedName name="COLC_3">#REF!</definedName>
    <definedName name="COLC_4">#REF!</definedName>
    <definedName name="FL_1">'35mm'!$F$26</definedName>
    <definedName name="FL_1_2">#REF!</definedName>
    <definedName name="FL_1_3">#REF!</definedName>
    <definedName name="FL_1_4">#REF!</definedName>
    <definedName name="FL_10">'35mm'!$X$26</definedName>
    <definedName name="FL_10_2">#REF!</definedName>
    <definedName name="FL_10_3">#REF!</definedName>
    <definedName name="FL_10_4">#REF!</definedName>
    <definedName name="FL_11">'35mm'!#REF!</definedName>
    <definedName name="FL_11_2">#REF!</definedName>
    <definedName name="FL_11_3">#REF!</definedName>
    <definedName name="FL_11_4">#REF!</definedName>
    <definedName name="FL_12">'35mm'!#REF!</definedName>
    <definedName name="FL_12_2">#REF!</definedName>
    <definedName name="FL_12_3">#REF!</definedName>
    <definedName name="FL_12_4">#REF!</definedName>
    <definedName name="FL_13">'35mm'!#REF!</definedName>
    <definedName name="FL_13_2">#REF!</definedName>
    <definedName name="FL_13_3">#REF!</definedName>
    <definedName name="FL_13_4">#REF!</definedName>
    <definedName name="FL_14">'35mm'!#REF!</definedName>
    <definedName name="FL_14_2">#REF!</definedName>
    <definedName name="FL_14_3">#REF!</definedName>
    <definedName name="FL_14_4">#REF!</definedName>
    <definedName name="FL_15">'35mm'!#REF!</definedName>
    <definedName name="FL_15_2">#REF!</definedName>
    <definedName name="FL_15_3">#REF!</definedName>
    <definedName name="FL_15_4">#REF!</definedName>
    <definedName name="FL_16">'35mm'!#REF!</definedName>
    <definedName name="FL_16_2">#REF!</definedName>
    <definedName name="FL_16_3">#REF!</definedName>
    <definedName name="FL_16_4">#REF!</definedName>
    <definedName name="FL_17">'35mm'!#REF!</definedName>
    <definedName name="FL_17_2">#REF!</definedName>
    <definedName name="FL_17_3">#REF!</definedName>
    <definedName name="FL_17_4">#REF!</definedName>
    <definedName name="FL_2">'35mm'!$H$26</definedName>
    <definedName name="FL_2_2">#REF!</definedName>
    <definedName name="FL_2_3">#REF!</definedName>
    <definedName name="FL_2_4">#REF!</definedName>
    <definedName name="FL_3">'35mm'!$J$26</definedName>
    <definedName name="FL_3_2">#REF!</definedName>
    <definedName name="FL_3_3">#REF!</definedName>
    <definedName name="FL_3_4">#REF!</definedName>
    <definedName name="FL_4">'35mm'!$L$26</definedName>
    <definedName name="FL_4_2">#REF!</definedName>
    <definedName name="FL_4_3">#REF!</definedName>
    <definedName name="FL_4_4">#REF!</definedName>
    <definedName name="FL_5">'35mm'!$N$26</definedName>
    <definedName name="FL_5_2">#REF!</definedName>
    <definedName name="FL_5_3">#REF!</definedName>
    <definedName name="FL_5_4">#REF!</definedName>
    <definedName name="FL_6">'35mm'!$P$26</definedName>
    <definedName name="FL_6_2">#REF!</definedName>
    <definedName name="FL_6_3">#REF!</definedName>
    <definedName name="FL_6_4">#REF!</definedName>
    <definedName name="FL_7">'35mm'!$R$26</definedName>
    <definedName name="FL_7_2">#REF!</definedName>
    <definedName name="FL_7_3">#REF!</definedName>
    <definedName name="FL_7_4">#REF!</definedName>
    <definedName name="FL_8">'35mm'!$T$26</definedName>
    <definedName name="FL_8_2">#REF!</definedName>
    <definedName name="FL_8_3">#REF!</definedName>
    <definedName name="FL_8_4">#REF!</definedName>
    <definedName name="FL_9">'35mm'!$V$26</definedName>
    <definedName name="FL_9_2">#REF!</definedName>
    <definedName name="FL_9_3">#REF!</definedName>
    <definedName name="FL_9_4">#REF!</definedName>
    <definedName name="fstoop_9">'35mm'!#REF!</definedName>
    <definedName name="fstoop_9_2">#REF!</definedName>
    <definedName name="fstoop_9_3">#REF!</definedName>
    <definedName name="fstoop_9_4">#REF!</definedName>
    <definedName name="fstop_1">'35mm'!#REF!</definedName>
    <definedName name="fstop_1_2">#REF!</definedName>
    <definedName name="fstop_1_3">#REF!</definedName>
    <definedName name="fstop_1_4">#REF!</definedName>
    <definedName name="fstop_10">'35mm'!$E$33</definedName>
    <definedName name="fstop_10_2">#REF!</definedName>
    <definedName name="fstop_10_3">#REF!</definedName>
    <definedName name="fstop_10_4">#REF!</definedName>
    <definedName name="fstop_2">'35mm'!#REF!</definedName>
    <definedName name="fstop_2_2">#REF!</definedName>
    <definedName name="fstop_2_3">#REF!</definedName>
    <definedName name="fstop_2_4">#REF!</definedName>
    <definedName name="fstop_3">'35mm'!#REF!</definedName>
    <definedName name="fstop_3_2">#REF!</definedName>
    <definedName name="fstop_3_3">#REF!</definedName>
    <definedName name="fstop_3_4">#REF!</definedName>
    <definedName name="fstop_4">'35mm'!$E$27</definedName>
    <definedName name="fstop_4_2">#REF!</definedName>
    <definedName name="fstop_4_3">#REF!</definedName>
    <definedName name="fstop_4_4">#REF!</definedName>
    <definedName name="fstop_5">'35mm'!$E$28</definedName>
    <definedName name="fstop_5_2">#REF!</definedName>
    <definedName name="fstop_5_3">#REF!</definedName>
    <definedName name="fstop_5_4">#REF!</definedName>
    <definedName name="fstop_6">'35mm'!$E$29</definedName>
    <definedName name="fstop_6_2">#REF!</definedName>
    <definedName name="fstop_6_3">#REF!</definedName>
    <definedName name="fstop_6_4">#REF!</definedName>
    <definedName name="fstop_7">'35mm'!$E$30</definedName>
    <definedName name="fstop_7_2">#REF!</definedName>
    <definedName name="fstop_7_3">#REF!</definedName>
    <definedName name="fstop_7_4">#REF!</definedName>
    <definedName name="fstop_8">'35mm'!$E$31</definedName>
    <definedName name="fstop_8_2">#REF!</definedName>
    <definedName name="fstop_8_3">#REF!</definedName>
    <definedName name="fstop_8_4">#REF!</definedName>
    <definedName name="fstop_9">'35mm'!$E$32</definedName>
    <definedName name="fstop_9_2">#REF!</definedName>
    <definedName name="fstop_9_3">#REF!</definedName>
    <definedName name="fstop_9_4">#REF!</definedName>
  </definedNames>
  <calcPr fullCalcOnLoad="1"/>
</workbook>
</file>

<file path=xl/sharedStrings.xml><?xml version="1.0" encoding="utf-8"?>
<sst xmlns="http://schemas.openxmlformats.org/spreadsheetml/2006/main" count="27" uniqueCount="12">
  <si>
    <t xml:space="preserve">La distance hyperfocale pour les appareils photo 35 mm </t>
  </si>
  <si>
    <t>(faire la conversion de l'équivalent de votre focale en numérique, et du cercle de confusion, différent selon les marques)</t>
  </si>
  <si>
    <t>Vous pouvez modifier les données sur fond jaune : les résultats se mettent à jour automatiquement.</t>
  </si>
  <si>
    <t>Voir le détail par modèles : http://www.dofmaster.com/digital_coc.html)</t>
  </si>
  <si>
    <t>Distance hyperfocale en mètres, depuis l'objectif :</t>
  </si>
  <si>
    <t>mm</t>
  </si>
  <si>
    <t>f</t>
  </si>
  <si>
    <t>D'après un document publié par Coutesy Vivid Light Photography Magazine</t>
  </si>
  <si>
    <r>
      <t>Focale en mm (</t>
    </r>
    <r>
      <rPr>
        <b/>
        <sz val="16"/>
        <color indexed="10"/>
        <rFont val="Arial"/>
        <family val="2"/>
      </rPr>
      <t>argentique, à adapter à votre objectif pour le numérique selon la marque</t>
    </r>
    <r>
      <rPr>
        <b/>
        <sz val="16"/>
        <rFont val="Arial"/>
        <family val="2"/>
      </rPr>
      <t>)</t>
    </r>
  </si>
  <si>
    <r>
      <t>Rappel de la formule : Distance hyperfocale  = focale</t>
    </r>
    <r>
      <rPr>
        <b/>
        <i/>
        <vertAlign val="superscript"/>
        <sz val="16"/>
        <color indexed="8"/>
        <rFont val="Arial"/>
        <family val="2"/>
      </rPr>
      <t>2</t>
    </r>
    <r>
      <rPr>
        <b/>
        <i/>
        <sz val="16"/>
        <color indexed="8"/>
        <rFont val="Arial"/>
        <family val="2"/>
      </rPr>
      <t xml:space="preserve"> / (diaphragme x cercle de confusion)</t>
    </r>
  </si>
  <si>
    <r>
      <t>Cercle de confusion : (</t>
    </r>
    <r>
      <rPr>
        <b/>
        <sz val="16"/>
        <color indexed="10"/>
        <rFont val="Arial"/>
        <family val="2"/>
      </rPr>
      <t xml:space="preserve">à adapter à votre matériel, </t>
    </r>
    <r>
      <rPr>
        <b/>
        <sz val="16"/>
        <rFont val="Arial"/>
        <family val="2"/>
      </rPr>
      <t>généralement 0,02 en numérique, 0,03 en argentique).</t>
    </r>
  </si>
  <si>
    <t>J ai adapte pour le numerique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</si>
</sst>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i/>
      <sz val="16"/>
      <name val="Arial"/>
      <family val="2"/>
    </font>
    <font>
      <b/>
      <i/>
      <vertAlign val="superscript"/>
      <sz val="16"/>
      <color indexed="8"/>
      <name val="Arial"/>
      <family val="2"/>
    </font>
    <font>
      <b/>
      <i/>
      <sz val="1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/>
    </xf>
    <xf numFmtId="0" fontId="2" fillId="4" borderId="3" xfId="0" applyFont="1" applyFill="1" applyBorder="1" applyAlignment="1">
      <alignment/>
    </xf>
    <xf numFmtId="2" fontId="2" fillId="4" borderId="1" xfId="0" applyNumberFormat="1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zoomScale="75" zoomScaleNormal="75" workbookViewId="0" topLeftCell="D13">
      <selection activeCell="E27" sqref="E27"/>
    </sheetView>
  </sheetViews>
  <sheetFormatPr defaultColWidth="11.421875" defaultRowHeight="12.75"/>
  <cols>
    <col min="1" max="2" width="3.7109375" style="4" customWidth="1"/>
    <col min="3" max="3" width="9.7109375" style="29" customWidth="1"/>
    <col min="4" max="25" width="9.7109375" style="4" customWidth="1"/>
    <col min="26" max="16384" width="10.7109375" style="4" customWidth="1"/>
  </cols>
  <sheetData>
    <row r="1" ht="20.25">
      <c r="C1" s="4"/>
    </row>
    <row r="2" ht="20.25">
      <c r="C2" s="4"/>
    </row>
    <row r="3" ht="20.25">
      <c r="C3" s="4"/>
    </row>
    <row r="4" ht="20.25">
      <c r="C4" s="4"/>
    </row>
    <row r="5" ht="20.25">
      <c r="C5" s="4"/>
    </row>
    <row r="6" ht="20.25">
      <c r="C6" s="4"/>
    </row>
    <row r="7" spans="3:25" ht="20.25">
      <c r="C7" s="4"/>
      <c r="Y7" s="1"/>
    </row>
    <row r="8" spans="3:25" ht="20.25">
      <c r="C8" s="4"/>
      <c r="Y8" s="1"/>
    </row>
    <row r="9" spans="3:25" ht="20.25">
      <c r="C9" s="4"/>
      <c r="Y9" s="1"/>
    </row>
    <row r="10" spans="3:25" ht="20.25">
      <c r="C10" s="4"/>
      <c r="Y10" s="1"/>
    </row>
    <row r="11" spans="3:25" ht="20.25">
      <c r="C11" s="4"/>
      <c r="Y11" s="1"/>
    </row>
    <row r="12" spans="3:25" ht="20.25">
      <c r="C12" s="1" t="s">
        <v>0</v>
      </c>
      <c r="D12" s="1"/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3:25" ht="20.25">
      <c r="C13" s="2" t="s">
        <v>1</v>
      </c>
      <c r="D13" s="1"/>
      <c r="E13" s="1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3:25" ht="20.25">
      <c r="C14" s="2"/>
      <c r="D14" s="1"/>
      <c r="E14" s="1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3:25" ht="20.25">
      <c r="C15" s="3" t="s">
        <v>2</v>
      </c>
      <c r="D15" s="3"/>
      <c r="E15" s="1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/>
      <c r="U15" s="1"/>
      <c r="V15" s="1"/>
      <c r="W15" s="1"/>
      <c r="X15" s="1"/>
      <c r="Y15" s="1"/>
    </row>
    <row r="16" ht="20.25">
      <c r="C16" s="4"/>
    </row>
    <row r="17" spans="3:11" ht="23.25">
      <c r="C17" s="18" t="s">
        <v>9</v>
      </c>
      <c r="D17" s="18"/>
      <c r="E17" s="18"/>
      <c r="F17" s="18"/>
      <c r="G17" s="18"/>
      <c r="H17" s="18"/>
      <c r="I17" s="18"/>
      <c r="J17" s="18"/>
      <c r="K17" s="18"/>
    </row>
    <row r="18" ht="20.25">
      <c r="C18" s="4"/>
    </row>
    <row r="19" ht="20.25">
      <c r="C19" s="4" t="s">
        <v>10</v>
      </c>
    </row>
    <row r="20" spans="3:25" ht="20.25">
      <c r="C20" s="1" t="s">
        <v>3</v>
      </c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3:25" ht="37.5" customHeight="1">
      <c r="C21" s="1"/>
      <c r="D21" s="1"/>
      <c r="E21" s="30">
        <v>0.02</v>
      </c>
      <c r="F21" s="30"/>
      <c r="G21" s="1"/>
      <c r="H21" s="1"/>
      <c r="I21" s="1" t="s">
        <v>11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19" customFormat="1" ht="20.25">
      <c r="A22" s="4"/>
      <c r="B22" s="4"/>
      <c r="C22" s="1"/>
      <c r="D22" s="1"/>
      <c r="E22" s="5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3:25" ht="20.25">
      <c r="C23" s="1"/>
      <c r="D23" s="1"/>
      <c r="E23" s="1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3:25" ht="20.25">
      <c r="C24" s="1" t="s">
        <v>4</v>
      </c>
      <c r="D24" s="1"/>
      <c r="E24" s="1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3:25" ht="39.75" customHeight="1">
      <c r="C25" s="20"/>
      <c r="D25" s="21"/>
      <c r="E25" s="22"/>
      <c r="F25" s="31" t="s">
        <v>8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3:25" ht="39.75" customHeight="1">
      <c r="C26" s="23"/>
      <c r="D26" s="9"/>
      <c r="E26" s="9"/>
      <c r="F26" s="6">
        <v>17</v>
      </c>
      <c r="G26" s="7" t="s">
        <v>5</v>
      </c>
      <c r="H26" s="6">
        <v>20</v>
      </c>
      <c r="I26" s="7" t="s">
        <v>5</v>
      </c>
      <c r="J26" s="6">
        <v>24</v>
      </c>
      <c r="K26" s="7" t="s">
        <v>5</v>
      </c>
      <c r="L26" s="6">
        <v>28</v>
      </c>
      <c r="M26" s="7" t="s">
        <v>5</v>
      </c>
      <c r="N26" s="6">
        <v>35</v>
      </c>
      <c r="O26" s="7" t="s">
        <v>5</v>
      </c>
      <c r="P26" s="6">
        <v>50</v>
      </c>
      <c r="Q26" s="7" t="s">
        <v>5</v>
      </c>
      <c r="R26" s="6">
        <v>70</v>
      </c>
      <c r="S26" s="7" t="s">
        <v>5</v>
      </c>
      <c r="T26" s="6">
        <v>100</v>
      </c>
      <c r="U26" s="7" t="s">
        <v>5</v>
      </c>
      <c r="V26" s="6">
        <v>150</v>
      </c>
      <c r="W26" s="7" t="s">
        <v>5</v>
      </c>
      <c r="X26" s="6">
        <v>200</v>
      </c>
      <c r="Y26" s="8" t="s">
        <v>5</v>
      </c>
    </row>
    <row r="27" spans="3:25" ht="39.75" customHeight="1">
      <c r="C27" s="32"/>
      <c r="D27" s="9" t="s">
        <v>6</v>
      </c>
      <c r="E27" s="10">
        <v>2.8</v>
      </c>
      <c r="F27" s="24">
        <f>((FL_1*FL_1)/(fstop_4*COLC))/1000</f>
        <v>5.1607142857142865</v>
      </c>
      <c r="G27" s="24"/>
      <c r="H27" s="24">
        <f>((FL_2*FL_2)/(fstop_4*COLC))/1000</f>
        <v>7.142857142857144</v>
      </c>
      <c r="I27" s="24"/>
      <c r="J27" s="24">
        <f>((FL_3*FL_3)/(fstop_4*COLC))/1000</f>
        <v>10.285714285714286</v>
      </c>
      <c r="K27" s="24"/>
      <c r="L27" s="24">
        <f>((FL_4*FL_4)/(fstop_4*COLC))/1000</f>
        <v>14.000000000000002</v>
      </c>
      <c r="M27" s="24"/>
      <c r="N27" s="24">
        <f>((FL_5*FL_5)/(fstop_4*COLC))/1000</f>
        <v>21.875000000000004</v>
      </c>
      <c r="O27" s="24"/>
      <c r="P27" s="24">
        <f>((FL_6*FL_6)/(fstop_4*COLC))/1000</f>
        <v>44.642857142857146</v>
      </c>
      <c r="Q27" s="24"/>
      <c r="R27" s="24">
        <f>((FL_7*FL_7)/(fstop_4*COLC))/1000</f>
        <v>87.50000000000001</v>
      </c>
      <c r="S27" s="24"/>
      <c r="T27" s="24">
        <f>((FL_8*FL_8)/(fstop_4*COLC))/1000</f>
        <v>178.57142857142858</v>
      </c>
      <c r="U27" s="24"/>
      <c r="V27" s="24">
        <f>((FL_9*FL_9)/(fstop_4*COLC))/1000</f>
        <v>401.78571428571433</v>
      </c>
      <c r="W27" s="24"/>
      <c r="X27" s="24">
        <f>((FL_10*FL_10)/(fstop_4*COLC))/1000</f>
        <v>714.2857142857143</v>
      </c>
      <c r="Y27" s="25"/>
    </row>
    <row r="28" spans="3:25" ht="39.75" customHeight="1">
      <c r="C28" s="32"/>
      <c r="D28" s="9" t="s">
        <v>6</v>
      </c>
      <c r="E28" s="10">
        <v>4</v>
      </c>
      <c r="F28" s="24">
        <f>((FL_1*FL_1)/(fstop_5*COLC))/1000</f>
        <v>3.6125</v>
      </c>
      <c r="G28" s="24"/>
      <c r="H28" s="24">
        <f>((FL_2*FL_2)/(fstop_5*COLC))/1000</f>
        <v>5</v>
      </c>
      <c r="I28" s="24"/>
      <c r="J28" s="24">
        <f>((FL_3*FL_3)/(fstop_5*COLC))/1000</f>
        <v>7.2</v>
      </c>
      <c r="K28" s="24"/>
      <c r="L28" s="24">
        <f>((FL_4*FL_4)/(fstop_5*COLC))/1000</f>
        <v>9.8</v>
      </c>
      <c r="M28" s="24"/>
      <c r="N28" s="24">
        <f>((FL_5*FL_5)/(fstop_5*COLC))/1000</f>
        <v>15.3125</v>
      </c>
      <c r="O28" s="24"/>
      <c r="P28" s="24">
        <f>((FL_6*FL_6)/(fstop_5*COLC))/1000</f>
        <v>31.25</v>
      </c>
      <c r="Q28" s="24"/>
      <c r="R28" s="24">
        <f>((FL_7*FL_7)/(fstop_5*COLC))/1000</f>
        <v>61.25</v>
      </c>
      <c r="S28" s="24"/>
      <c r="T28" s="24">
        <f>((FL_8*FL_8)/(fstop_5*COLC))/1000</f>
        <v>125</v>
      </c>
      <c r="U28" s="24"/>
      <c r="V28" s="24">
        <f>((FL_9*FL_9)/(fstop_5*COLC))/1000</f>
        <v>281.25</v>
      </c>
      <c r="W28" s="24"/>
      <c r="X28" s="24">
        <f>((FL_10*FL_10)/(fstop_5*COLC))/1000</f>
        <v>500</v>
      </c>
      <c r="Y28" s="25"/>
    </row>
    <row r="29" spans="3:25" ht="39.75" customHeight="1">
      <c r="C29" s="32"/>
      <c r="D29" s="9" t="s">
        <v>6</v>
      </c>
      <c r="E29" s="10">
        <v>6</v>
      </c>
      <c r="F29" s="24">
        <f>((FL_1*FL_1)/(fstop_6*COLC))/1000</f>
        <v>2.4083333333333337</v>
      </c>
      <c r="G29" s="24"/>
      <c r="H29" s="24">
        <f>((FL_2*FL_2)/(fstop_6*COLC))/1000</f>
        <v>3.3333333333333335</v>
      </c>
      <c r="I29" s="24"/>
      <c r="J29" s="24">
        <f>((FL_3*FL_3)/(fstop_6*COLC))/1000</f>
        <v>4.8</v>
      </c>
      <c r="K29" s="24"/>
      <c r="L29" s="24">
        <f>((FL_4*FL_4)/(fstop_6*COLC))/1000</f>
        <v>6.533333333333334</v>
      </c>
      <c r="M29" s="24"/>
      <c r="N29" s="24">
        <f>((FL_5*FL_5)/(fstop_6*COLC))/1000</f>
        <v>10.208333333333334</v>
      </c>
      <c r="O29" s="24"/>
      <c r="P29" s="24">
        <f>((FL_6*FL_6)/(fstop_6*COLC))/1000</f>
        <v>20.833333333333336</v>
      </c>
      <c r="Q29" s="24"/>
      <c r="R29" s="24">
        <f>((FL_7*FL_7)/(fstop_6*COLC))/1000</f>
        <v>40.833333333333336</v>
      </c>
      <c r="S29" s="24"/>
      <c r="T29" s="24">
        <f>((FL_8*FL_8)/(fstop_6*COLC))/1000</f>
        <v>83.33333333333334</v>
      </c>
      <c r="U29" s="24"/>
      <c r="V29" s="24">
        <f>((FL_9*FL_9)/(fstop_6*COLC))/1000</f>
        <v>187.5</v>
      </c>
      <c r="W29" s="24"/>
      <c r="X29" s="24">
        <f>((FL_10*FL_10)/(fstop_6*COLC))/1000</f>
        <v>333.33333333333337</v>
      </c>
      <c r="Y29" s="25"/>
    </row>
    <row r="30" spans="3:25" ht="39.75" customHeight="1">
      <c r="C30" s="11"/>
      <c r="D30" s="9" t="s">
        <v>6</v>
      </c>
      <c r="E30" s="10">
        <v>8</v>
      </c>
      <c r="F30" s="24">
        <f>((FL_1*FL_1)/(fstop_7*COLC))/1000</f>
        <v>1.80625</v>
      </c>
      <c r="G30" s="24"/>
      <c r="H30" s="24">
        <f>((FL_2*FL_2)/(fstop_7*COLC))/1000</f>
        <v>2.5</v>
      </c>
      <c r="I30" s="24"/>
      <c r="J30" s="24">
        <f>((FL_3*FL_3)/(fstop_7*COLC))/1000</f>
        <v>3.6</v>
      </c>
      <c r="K30" s="24"/>
      <c r="L30" s="24">
        <f>((FL_4*FL_4)/(fstop_7*COLC))/1000</f>
        <v>4.9</v>
      </c>
      <c r="M30" s="24"/>
      <c r="N30" s="24">
        <f>((FL_5*FL_5)/(fstop_7*COLC))/1000</f>
        <v>7.65625</v>
      </c>
      <c r="O30" s="24"/>
      <c r="P30" s="24">
        <f>((FL_6*FL_6)/(fstop_7*COLC))/1000</f>
        <v>15.625</v>
      </c>
      <c r="Q30" s="24"/>
      <c r="R30" s="24">
        <f>((FL_7*FL_7)/(fstop_7*COLC))/1000</f>
        <v>30.625</v>
      </c>
      <c r="S30" s="24"/>
      <c r="T30" s="24">
        <f>((FL_8*FL_8)/(fstop_7*COLC))/1000</f>
        <v>62.5</v>
      </c>
      <c r="U30" s="24"/>
      <c r="V30" s="24">
        <f>((FL_9*FL_9)/(fstop_7*COLC))/1000</f>
        <v>140.625</v>
      </c>
      <c r="W30" s="24"/>
      <c r="X30" s="24">
        <f>((FL_10*FL_10)/(fstop_7*COLC))/1000</f>
        <v>250</v>
      </c>
      <c r="Y30" s="25"/>
    </row>
    <row r="31" spans="3:25" ht="39.75" customHeight="1">
      <c r="C31" s="11"/>
      <c r="D31" s="9" t="s">
        <v>6</v>
      </c>
      <c r="E31" s="10">
        <v>9</v>
      </c>
      <c r="F31" s="24">
        <f>((FL_1*FL_1)/(fstop_8*COLC))/1000</f>
        <v>1.6055555555555556</v>
      </c>
      <c r="G31" s="24"/>
      <c r="H31" s="24">
        <f>((FL_2*FL_2)/(fstop_8*COLC))/1000</f>
        <v>2.2222222222222223</v>
      </c>
      <c r="I31" s="24"/>
      <c r="J31" s="24">
        <f>((FL_3*FL_3)/(fstop_8*COLC))/1000</f>
        <v>3.2</v>
      </c>
      <c r="K31" s="24"/>
      <c r="L31" s="24">
        <f>((FL_4*FL_4)/(fstop_8*COLC))/1000</f>
        <v>4.355555555555556</v>
      </c>
      <c r="M31" s="24"/>
      <c r="N31" s="24">
        <f>((FL_5*FL_5)/(fstop_8*COLC))/1000</f>
        <v>6.805555555555555</v>
      </c>
      <c r="O31" s="24"/>
      <c r="P31" s="24">
        <f>((FL_6*FL_6)/(fstop_8*COLC))/1000</f>
        <v>13.88888888888889</v>
      </c>
      <c r="Q31" s="24"/>
      <c r="R31" s="24">
        <f>((FL_7*FL_7)/(fstop_8*COLC))/1000</f>
        <v>27.22222222222222</v>
      </c>
      <c r="S31" s="24"/>
      <c r="T31" s="24">
        <f>((FL_8*FL_8)/(fstop_8*COLC))/1000</f>
        <v>55.55555555555556</v>
      </c>
      <c r="U31" s="24"/>
      <c r="V31" s="24">
        <f>((FL_9*FL_9)/(fstop_8*COLC))/1000</f>
        <v>125</v>
      </c>
      <c r="W31" s="24"/>
      <c r="X31" s="24">
        <f>((FL_10*FL_10)/(fstop_8*COLC))/1000</f>
        <v>222.22222222222223</v>
      </c>
      <c r="Y31" s="25"/>
    </row>
    <row r="32" spans="3:25" ht="39.75" customHeight="1">
      <c r="C32" s="11"/>
      <c r="D32" s="9" t="s">
        <v>6</v>
      </c>
      <c r="E32" s="10">
        <v>11</v>
      </c>
      <c r="F32" s="24">
        <f>((FL_1*FL_1)/(fstop_9*COLC))/1000</f>
        <v>1.3136363636363637</v>
      </c>
      <c r="G32" s="24"/>
      <c r="H32" s="24">
        <f>((FL_2*FL_2)/(fstop_9*COLC))/1000</f>
        <v>1.8181818181818183</v>
      </c>
      <c r="I32" s="24"/>
      <c r="J32" s="24">
        <f>((FL_3*FL_3)/(fstop_9*COLC))/1000</f>
        <v>2.618181818181818</v>
      </c>
      <c r="K32" s="24"/>
      <c r="L32" s="24">
        <f>((FL_4*FL_4)/(fstop_9*COLC))/1000</f>
        <v>3.5636363636363635</v>
      </c>
      <c r="M32" s="24"/>
      <c r="N32" s="24">
        <f>((FL_5*FL_5)/(fstop_9*COLC))/1000</f>
        <v>5.568181818181818</v>
      </c>
      <c r="O32" s="24"/>
      <c r="P32" s="24">
        <f>((FL_6*FL_6)/(fstop_9*COLC))/1000</f>
        <v>11.363636363636363</v>
      </c>
      <c r="Q32" s="24"/>
      <c r="R32" s="24">
        <f>((FL_7*FL_7)/(fstop_9*COLC))/1000</f>
        <v>22.272727272727273</v>
      </c>
      <c r="S32" s="24"/>
      <c r="T32" s="24">
        <f>((FL_8*FL_8)/(fstop_9*COLC))/1000</f>
        <v>45.45454545454545</v>
      </c>
      <c r="U32" s="24"/>
      <c r="V32" s="24">
        <f>((FL_9*FL_9)/(fstop_9*COLC))/1000</f>
        <v>102.27272727272728</v>
      </c>
      <c r="W32" s="24"/>
      <c r="X32" s="24">
        <f>((FL_10*FL_10)/(fstop_9*COLC))/1000</f>
        <v>181.8181818181818</v>
      </c>
      <c r="Y32" s="25"/>
    </row>
    <row r="33" spans="3:25" ht="39.75" customHeight="1">
      <c r="C33" s="12"/>
      <c r="D33" s="13" t="s">
        <v>6</v>
      </c>
      <c r="E33" s="14">
        <v>13</v>
      </c>
      <c r="F33" s="26">
        <f>((FL_1*FL_1)/(fstop_10*COLC))/1000</f>
        <v>1.1115384615384614</v>
      </c>
      <c r="G33" s="26"/>
      <c r="H33" s="26">
        <f>((FL_2*FL_2)/(fstop_10*COLC))/1000</f>
        <v>1.5384615384615383</v>
      </c>
      <c r="I33" s="26"/>
      <c r="J33" s="26">
        <f>((FL_3*FL_3)/(fstop_10*COLC))/1000</f>
        <v>2.215384615384615</v>
      </c>
      <c r="K33" s="26"/>
      <c r="L33" s="26">
        <f>((FL_4*FL_4)/(fstop_10*COLC))/1000</f>
        <v>3.0153846153846153</v>
      </c>
      <c r="M33" s="26"/>
      <c r="N33" s="26">
        <f>((FL_5*FL_5)/(fstop_10*COLC))/1000</f>
        <v>4.711538461538461</v>
      </c>
      <c r="O33" s="26"/>
      <c r="P33" s="26">
        <f>((FL_6*FL_6)/(fstop_10*COLC))/1000</f>
        <v>9.615384615384615</v>
      </c>
      <c r="Q33" s="26"/>
      <c r="R33" s="26">
        <f>((FL_7*FL_7)/(fstop_10*COLC))/1000</f>
        <v>18.846153846153843</v>
      </c>
      <c r="S33" s="26"/>
      <c r="T33" s="26">
        <f>((FL_8*FL_8)/(fstop_10*COLC))/1000</f>
        <v>38.46153846153846</v>
      </c>
      <c r="U33" s="26"/>
      <c r="V33" s="26">
        <f>((FL_9*FL_9)/(fstop_10*COLC))/1000</f>
        <v>86.53846153846153</v>
      </c>
      <c r="W33" s="26"/>
      <c r="X33" s="26">
        <f>((FL_10*FL_10)/(fstop_10*COLC))/1000</f>
        <v>153.84615384615384</v>
      </c>
      <c r="Y33" s="27"/>
    </row>
    <row r="34" spans="3:25" ht="20.25">
      <c r="C34" s="1"/>
      <c r="D34" s="1"/>
      <c r="E34" s="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3:25" ht="20.25">
      <c r="C35" s="1"/>
      <c r="D35" s="1"/>
      <c r="E35" s="1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3:25" ht="20.25">
      <c r="C36" s="1"/>
      <c r="D36" s="1"/>
      <c r="E36" s="1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3:25" ht="20.25">
      <c r="C37" s="28" t="s">
        <v>7</v>
      </c>
      <c r="D37" s="1"/>
      <c r="E37" s="1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6"/>
    </row>
    <row r="38" spans="3:25" ht="20.25">
      <c r="C38" s="4"/>
      <c r="D38" s="29"/>
      <c r="Y38" s="1"/>
    </row>
    <row r="39" spans="3:25" ht="20.25">
      <c r="C39" s="4"/>
      <c r="D39" s="29"/>
      <c r="Y39" s="1"/>
    </row>
    <row r="40" spans="3:4" ht="20.25">
      <c r="C40" s="4"/>
      <c r="D40" s="29"/>
    </row>
  </sheetData>
  <mergeCells count="3">
    <mergeCell ref="E21:F21"/>
    <mergeCell ref="F25:Y25"/>
    <mergeCell ref="C27:C2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txuku</cp:lastModifiedBy>
  <dcterms:modified xsi:type="dcterms:W3CDTF">2009-07-28T11:01:17Z</dcterms:modified>
  <cp:category/>
  <cp:version/>
  <cp:contentType/>
  <cp:contentStatus/>
</cp:coreProperties>
</file>